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Michael/Dropbox/Toolkit Project/ROI Calculators/"/>
    </mc:Choice>
  </mc:AlternateContent>
  <bookViews>
    <workbookView xWindow="0" yWindow="440" windowWidth="28800" windowHeight="17560" tabRatio="500"/>
  </bookViews>
  <sheets>
    <sheet name="ANALYSIS" sheetId="1" r:id="rId1"/>
    <sheet name="CALCULATOR" sheetId="2" r:id="rId2"/>
    <sheet name="ASSUMPTIONS" sheetId="3" r:id="rId3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G3" i="1"/>
  <c r="G4" i="1"/>
  <c r="G6" i="1"/>
  <c r="G5" i="1"/>
  <c r="G9" i="1"/>
  <c r="F3" i="1"/>
  <c r="F4" i="1"/>
  <c r="F6" i="1"/>
  <c r="F5" i="1"/>
  <c r="F9" i="1"/>
  <c r="D4" i="1"/>
  <c r="D6" i="1"/>
  <c r="D5" i="1"/>
  <c r="D9" i="1"/>
  <c r="C3" i="1"/>
  <c r="C4" i="1"/>
  <c r="C6" i="1"/>
  <c r="C5" i="1"/>
  <c r="C9" i="1"/>
  <c r="G7" i="1"/>
  <c r="F7" i="1"/>
  <c r="J34" i="3"/>
  <c r="G19" i="2"/>
  <c r="G18" i="2"/>
  <c r="G16" i="2"/>
  <c r="K19" i="2"/>
  <c r="K18" i="2"/>
  <c r="K16" i="2"/>
  <c r="G17" i="2"/>
  <c r="K17" i="2"/>
  <c r="M10" i="2"/>
  <c r="M9" i="2"/>
  <c r="L10" i="2"/>
  <c r="L9" i="2"/>
  <c r="M8" i="2"/>
  <c r="L8" i="2"/>
  <c r="M7" i="2"/>
  <c r="L7" i="2"/>
  <c r="K10" i="2"/>
  <c r="K9" i="2"/>
  <c r="K8" i="2"/>
  <c r="K7" i="2"/>
  <c r="K21" i="2"/>
  <c r="K12" i="2"/>
  <c r="K23" i="2"/>
  <c r="L21" i="2"/>
  <c r="L12" i="2"/>
  <c r="L23" i="2"/>
  <c r="M21" i="2"/>
  <c r="M12" i="2"/>
  <c r="M23" i="2"/>
  <c r="M25" i="2"/>
  <c r="L19" i="2"/>
  <c r="M19" i="2"/>
  <c r="L18" i="2"/>
  <c r="M18" i="2"/>
  <c r="L17" i="2"/>
  <c r="M17" i="2"/>
  <c r="L16" i="2"/>
  <c r="M16" i="2"/>
  <c r="K3" i="2"/>
  <c r="G21" i="2"/>
  <c r="H21" i="2"/>
  <c r="I21" i="2"/>
  <c r="G23" i="2"/>
  <c r="J12" i="3"/>
  <c r="H10" i="2"/>
  <c r="H12" i="2"/>
  <c r="H23" i="2"/>
  <c r="K12" i="3"/>
  <c r="I10" i="2"/>
  <c r="I12" i="2"/>
  <c r="I23" i="2"/>
  <c r="I25" i="2"/>
  <c r="D7" i="1"/>
  <c r="H19" i="2"/>
  <c r="I19" i="2"/>
  <c r="H18" i="2"/>
  <c r="I18" i="2"/>
  <c r="H17" i="2"/>
  <c r="I17" i="2"/>
  <c r="H16" i="2"/>
  <c r="I16" i="2"/>
  <c r="G10" i="2"/>
  <c r="I9" i="2"/>
  <c r="H9" i="2"/>
  <c r="I8" i="2"/>
  <c r="H8" i="2"/>
  <c r="I7" i="2"/>
  <c r="H7" i="2"/>
  <c r="G9" i="2"/>
  <c r="G8" i="2"/>
  <c r="G7" i="2"/>
  <c r="I12" i="3"/>
  <c r="E12" i="3"/>
  <c r="K4" i="3"/>
  <c r="J4" i="3"/>
  <c r="I4" i="3"/>
  <c r="J22" i="3"/>
  <c r="K22" i="3"/>
  <c r="J21" i="3"/>
  <c r="K21" i="3"/>
  <c r="I19" i="3"/>
  <c r="J19" i="3"/>
  <c r="K19" i="3"/>
  <c r="J18" i="3"/>
  <c r="K18" i="3"/>
  <c r="J16" i="3"/>
  <c r="K16" i="3"/>
  <c r="I13" i="3"/>
  <c r="I11" i="3"/>
  <c r="I15" i="3"/>
  <c r="J15" i="3"/>
  <c r="K15" i="3"/>
  <c r="I14" i="3"/>
  <c r="J14" i="3"/>
  <c r="K14" i="3"/>
  <c r="J13" i="3"/>
  <c r="K13" i="3"/>
  <c r="J11" i="3"/>
  <c r="K11" i="3"/>
  <c r="I10" i="3"/>
  <c r="J10" i="3"/>
  <c r="K10" i="3"/>
  <c r="K9" i="3"/>
  <c r="J9" i="3"/>
  <c r="I9" i="3"/>
  <c r="J8" i="3"/>
  <c r="K8" i="3"/>
  <c r="K7" i="3"/>
  <c r="J7" i="3"/>
  <c r="I7" i="3"/>
  <c r="I5" i="3"/>
  <c r="K5" i="3"/>
  <c r="K6" i="3"/>
  <c r="J5" i="3"/>
  <c r="J6" i="3"/>
  <c r="I6" i="3"/>
  <c r="G22" i="3"/>
  <c r="G21" i="3"/>
  <c r="G19" i="3"/>
  <c r="G18" i="3"/>
  <c r="G16" i="3"/>
  <c r="G15" i="3"/>
  <c r="G14" i="3"/>
  <c r="G13" i="3"/>
  <c r="F12" i="3"/>
  <c r="G12" i="3"/>
  <c r="G11" i="3"/>
  <c r="F22" i="3"/>
  <c r="F21" i="3"/>
  <c r="F19" i="3"/>
  <c r="F18" i="3"/>
  <c r="F16" i="3"/>
  <c r="F15" i="3"/>
  <c r="F14" i="3"/>
  <c r="F13" i="3"/>
  <c r="F11" i="3"/>
  <c r="E10" i="3"/>
  <c r="F10" i="3"/>
  <c r="G10" i="3"/>
  <c r="G9" i="3"/>
  <c r="F9" i="3"/>
  <c r="E9" i="3"/>
  <c r="G8" i="3"/>
  <c r="F8" i="3"/>
  <c r="E4" i="3"/>
  <c r="F4" i="3"/>
  <c r="G4" i="3"/>
  <c r="G7" i="3"/>
  <c r="F7" i="3"/>
  <c r="G5" i="3"/>
  <c r="G6" i="3"/>
  <c r="F6" i="3"/>
  <c r="F5" i="3"/>
  <c r="B7" i="2"/>
  <c r="B8" i="2"/>
  <c r="B10" i="2"/>
  <c r="B12" i="2"/>
  <c r="B23" i="2"/>
  <c r="C12" i="2"/>
  <c r="C23" i="2"/>
  <c r="D12" i="2"/>
  <c r="D23" i="2"/>
  <c r="D25" i="2"/>
  <c r="D21" i="2"/>
  <c r="C21" i="2"/>
  <c r="C10" i="2"/>
  <c r="D10" i="2"/>
  <c r="D9" i="2"/>
  <c r="C8" i="2"/>
  <c r="D8" i="2"/>
  <c r="C7" i="2"/>
  <c r="D7" i="2"/>
  <c r="C9" i="2"/>
  <c r="J36" i="3"/>
  <c r="J27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8" i="3"/>
  <c r="AN17" i="3"/>
  <c r="F39" i="3"/>
  <c r="J26" i="3"/>
  <c r="J31" i="3"/>
  <c r="AO18" i="3"/>
  <c r="AO17" i="3"/>
  <c r="AP18" i="3"/>
  <c r="AP17" i="3"/>
  <c r="AQ18" i="3"/>
  <c r="AQ17" i="3"/>
  <c r="AR18" i="3"/>
  <c r="AR17" i="3"/>
  <c r="AS18" i="3"/>
  <c r="AS17" i="3"/>
  <c r="AT18" i="3"/>
  <c r="AT17" i="3"/>
  <c r="AU18" i="3"/>
  <c r="AU17" i="3"/>
  <c r="AV18" i="3"/>
  <c r="AV17" i="3"/>
  <c r="AW18" i="3"/>
  <c r="AW17" i="3"/>
  <c r="AX18" i="3"/>
  <c r="AX17" i="3"/>
  <c r="AY18" i="3"/>
  <c r="AY17" i="3"/>
  <c r="AZ18" i="3"/>
  <c r="AZ17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G3" i="2"/>
  <c r="A17" i="2"/>
  <c r="C6" i="3"/>
  <c r="C15" i="3"/>
  <c r="C19" i="3"/>
  <c r="B21" i="2"/>
  <c r="C14" i="3"/>
  <c r="F31" i="3"/>
  <c r="E5" i="3"/>
  <c r="E6" i="3"/>
  <c r="E13" i="3"/>
  <c r="E11" i="3"/>
  <c r="E15" i="3"/>
  <c r="E19" i="3"/>
  <c r="G12" i="2"/>
  <c r="C7" i="1"/>
  <c r="E14" i="3"/>
  <c r="E7" i="3"/>
  <c r="C7" i="3"/>
</calcChain>
</file>

<file path=xl/sharedStrings.xml><?xml version="1.0" encoding="utf-8"?>
<sst xmlns="http://schemas.openxmlformats.org/spreadsheetml/2006/main" count="91" uniqueCount="78">
  <si>
    <t>Nurse attrition per year (%)</t>
  </si>
  <si>
    <t xml:space="preserve">Total Nurse workforce </t>
  </si>
  <si>
    <t>Nurse loss per year</t>
  </si>
  <si>
    <t>Baseline productivity (efficiency)</t>
  </si>
  <si>
    <t>Loss rate per month</t>
  </si>
  <si>
    <t>Nurse training time (days)</t>
  </si>
  <si>
    <t>Traveler back-fill premium</t>
  </si>
  <si>
    <t>Average nurse salary</t>
  </si>
  <si>
    <t>Cost of Traveler per hour</t>
  </si>
  <si>
    <t>Cost of employed nurse per hour</t>
  </si>
  <si>
    <t>EXPENSES</t>
  </si>
  <si>
    <t>Personnel</t>
  </si>
  <si>
    <t>Nurse recruitment and training cost (current strategy)</t>
  </si>
  <si>
    <t>Other costs per day</t>
  </si>
  <si>
    <t>Days of equipment use (as percent of training days)</t>
  </si>
  <si>
    <t>Training days saved (if applicable)</t>
  </si>
  <si>
    <t>Unit cost per day (average)</t>
  </si>
  <si>
    <t>Number of people</t>
  </si>
  <si>
    <t>Personnel days (as percent of training days)</t>
  </si>
  <si>
    <t>CURRENT</t>
  </si>
  <si>
    <t>Revenue loss due to efficiency</t>
  </si>
  <si>
    <t>Nurse impact on revenue</t>
  </si>
  <si>
    <t>Percent</t>
  </si>
  <si>
    <t>Absolute</t>
  </si>
  <si>
    <t>Recruitment/training expenses</t>
  </si>
  <si>
    <t>Traveler backfill per year</t>
  </si>
  <si>
    <t>Total cost to institution</t>
  </si>
  <si>
    <t>Days for recrutiment/training</t>
  </si>
  <si>
    <t>Improvement in efficienbcy rate</t>
  </si>
  <si>
    <t>Total Expense</t>
  </si>
  <si>
    <t>ANALYSIS</t>
  </si>
  <si>
    <t>Expenses without intervention</t>
  </si>
  <si>
    <t>Net Savings per year %)</t>
  </si>
  <si>
    <t xml:space="preserve">Return on investment (ROI) </t>
  </si>
  <si>
    <t>Revenue potential at full efficiency</t>
  </si>
  <si>
    <t>CURRENT VARIABLES</t>
  </si>
  <si>
    <t>CURRENT STATE</t>
  </si>
  <si>
    <t>SOLUTION (INTERVENTION)</t>
  </si>
  <si>
    <t>Improvement (as % of current state)</t>
  </si>
  <si>
    <t>Equipment (maintenance, consumables, etc. )cost per day</t>
  </si>
  <si>
    <t>Depreciation of capital equipment</t>
  </si>
  <si>
    <t>Intervention Elements</t>
  </si>
  <si>
    <t>General Elements</t>
  </si>
  <si>
    <t>Equipment (maintenance, consumables, etc. ) cost</t>
  </si>
  <si>
    <t>Other expenses</t>
  </si>
  <si>
    <t>Personnel expenses</t>
  </si>
  <si>
    <t>Target attrition rate (ultimate)</t>
  </si>
  <si>
    <t>Year</t>
  </si>
  <si>
    <t>Improvement in attrition rate (annual)</t>
  </si>
  <si>
    <t>Desired Years to target</t>
  </si>
  <si>
    <t>Years to target (calculated)</t>
  </si>
  <si>
    <t>Days of training for existing staff per year</t>
  </si>
  <si>
    <t>Number of years</t>
  </si>
  <si>
    <t>Existing personnel training</t>
  </si>
  <si>
    <t>Existing personnel training cost</t>
  </si>
  <si>
    <t>Equipment of purchase (over 3 years)</t>
  </si>
  <si>
    <t>FUTURE INTERVENTION (CHANGE BASED)</t>
  </si>
  <si>
    <t>FUTURE INTERVENTION (TIME BASED)</t>
  </si>
  <si>
    <t>Year 1</t>
  </si>
  <si>
    <t>Year 2</t>
  </si>
  <si>
    <t>Year 3</t>
  </si>
  <si>
    <t>Overall expense over 3 years</t>
  </si>
  <si>
    <t>FUTURE STATE                          (w/ INTERVETION)</t>
  </si>
  <si>
    <t>YEAR 1</t>
  </si>
  <si>
    <t>YEAR 2</t>
  </si>
  <si>
    <t>YEAR 3</t>
  </si>
  <si>
    <t>CHANGE BASED</t>
  </si>
  <si>
    <t>CUMULATIVE</t>
  </si>
  <si>
    <t>Net Savings ($)</t>
  </si>
  <si>
    <t>Intervention expenses</t>
  </si>
  <si>
    <t>Expenses with Intervention (Total)</t>
  </si>
  <si>
    <t>INTERVENTION (CHANGED BASED)</t>
  </si>
  <si>
    <t>TIME BASED</t>
  </si>
  <si>
    <t>INTERVENTION (TIME BASED)</t>
  </si>
  <si>
    <t>Change based = specific percent change per year</t>
  </si>
  <si>
    <t>Time based = target time to achieve X change</t>
  </si>
  <si>
    <t>This is for example use. Permission is granted to create deriveatives with proper attribution to the Global Network for Simulation in Healthcare</t>
  </si>
  <si>
    <t>© 2018 GNSH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</si>
</sst>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&quot;$&quot;#,##0.00"/>
    <numFmt numFmtId="167" formatCode="&quot;$&quot;#,##0"/>
    <numFmt numFmtId="168" formatCode="0.000%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9.2"/>
      <color rgb="FF393939"/>
      <name val="Helvetica Neue"/>
      <family val="2"/>
    </font>
    <font>
      <sz val="19.2"/>
      <color rgb="FF2F2F2F"/>
      <name val="Helvetica Neue"/>
      <family val="2"/>
    </font>
    <font>
      <sz val="12"/>
      <color rgb="FF2F2F2F"/>
      <name val="Helvetica Neue"/>
      <family val="2"/>
    </font>
    <font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4" tint="0.79995117038483843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9" fontId="0" fillId="0" borderId="0" xfId="0" applyNumberFormat="1"/>
    <xf numFmtId="164" fontId="0" fillId="0" borderId="0" xfId="2" applyNumberFormat="1" applyFont="1"/>
    <xf numFmtId="1" fontId="0" fillId="0" borderId="0" xfId="2" applyNumberFormat="1" applyFont="1"/>
    <xf numFmtId="44" fontId="0" fillId="0" borderId="0" xfId="1" applyFont="1"/>
    <xf numFmtId="0" fontId="0" fillId="0" borderId="1" xfId="0" applyBorder="1"/>
    <xf numFmtId="0" fontId="0" fillId="0" borderId="0" xfId="0" applyAlignment="1">
      <alignment horizontal="left" indent="1"/>
    </xf>
    <xf numFmtId="44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0" xfId="0" applyFill="1" applyAlignment="1">
      <alignment horizontal="center"/>
    </xf>
    <xf numFmtId="9" fontId="0" fillId="5" borderId="0" xfId="0" applyNumberFormat="1" applyFill="1" applyAlignment="1">
      <alignment horizontal="center"/>
    </xf>
    <xf numFmtId="164" fontId="0" fillId="5" borderId="0" xfId="2" applyNumberFormat="1" applyFont="1" applyFill="1" applyAlignment="1">
      <alignment horizontal="center"/>
    </xf>
    <xf numFmtId="1" fontId="0" fillId="5" borderId="0" xfId="2" applyNumberFormat="1" applyFont="1" applyFill="1" applyAlignment="1">
      <alignment horizontal="center"/>
    </xf>
    <xf numFmtId="166" fontId="0" fillId="5" borderId="0" xfId="1" applyNumberFormat="1" applyFont="1" applyFill="1" applyAlignment="1">
      <alignment horizontal="center"/>
    </xf>
    <xf numFmtId="167" fontId="0" fillId="5" borderId="0" xfId="1" applyNumberFormat="1" applyFont="1" applyFill="1" applyAlignment="1">
      <alignment horizontal="center"/>
    </xf>
    <xf numFmtId="167" fontId="0" fillId="5" borderId="0" xfId="0" applyNumberFormat="1" applyFill="1" applyAlignment="1">
      <alignment horizontal="center"/>
    </xf>
    <xf numFmtId="167" fontId="0" fillId="7" borderId="0" xfId="1" applyNumberFormat="1" applyFont="1" applyFill="1" applyAlignment="1">
      <alignment horizontal="center"/>
    </xf>
    <xf numFmtId="9" fontId="0" fillId="7" borderId="0" xfId="0" applyNumberFormat="1" applyFill="1" applyAlignment="1">
      <alignment horizontal="center"/>
    </xf>
    <xf numFmtId="166" fontId="0" fillId="7" borderId="0" xfId="1" applyNumberFormat="1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4" borderId="0" xfId="0" applyFill="1" applyAlignment="1">
      <alignment horizontal="center"/>
    </xf>
    <xf numFmtId="164" fontId="0" fillId="4" borderId="0" xfId="2" applyNumberFormat="1" applyFont="1" applyFill="1" applyAlignment="1">
      <alignment horizontal="center"/>
    </xf>
    <xf numFmtId="1" fontId="0" fillId="4" borderId="0" xfId="2" applyNumberFormat="1" applyFont="1" applyFill="1" applyAlignment="1">
      <alignment horizontal="center"/>
    </xf>
    <xf numFmtId="167" fontId="0" fillId="4" borderId="0" xfId="0" applyNumberFormat="1" applyFill="1" applyAlignment="1">
      <alignment horizontal="center"/>
    </xf>
    <xf numFmtId="9" fontId="0" fillId="4" borderId="0" xfId="0" applyNumberForma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3" fillId="5" borderId="0" xfId="0" applyFont="1" applyFill="1"/>
    <xf numFmtId="0" fontId="0" fillId="5" borderId="0" xfId="0" applyFill="1"/>
    <xf numFmtId="0" fontId="0" fillId="5" borderId="0" xfId="0" applyFill="1" applyAlignment="1">
      <alignment horizontal="left" indent="1"/>
    </xf>
    <xf numFmtId="0" fontId="0" fillId="7" borderId="0" xfId="0" applyFill="1"/>
    <xf numFmtId="0" fontId="0" fillId="7" borderId="0" xfId="0" applyFill="1" applyAlignment="1">
      <alignment horizontal="left" indent="1"/>
    </xf>
    <xf numFmtId="0" fontId="0" fillId="7" borderId="0" xfId="0" applyFill="1" applyAlignment="1">
      <alignment horizontal="left"/>
    </xf>
    <xf numFmtId="0" fontId="7" fillId="2" borderId="1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6" borderId="1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left" inden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8" borderId="0" xfId="0" applyFill="1" applyAlignment="1">
      <alignment horizontal="center"/>
    </xf>
    <xf numFmtId="2" fontId="0" fillId="7" borderId="0" xfId="1" applyNumberFormat="1" applyFont="1" applyFill="1" applyAlignment="1">
      <alignment horizontal="center"/>
    </xf>
    <xf numFmtId="0" fontId="0" fillId="5" borderId="0" xfId="0" applyFill="1" applyAlignment="1">
      <alignment horizontal="left"/>
    </xf>
    <xf numFmtId="1" fontId="0" fillId="5" borderId="0" xfId="0" applyNumberFormat="1" applyFill="1" applyAlignment="1">
      <alignment horizontal="center"/>
    </xf>
    <xf numFmtId="1" fontId="0" fillId="0" borderId="0" xfId="0" applyNumberFormat="1"/>
    <xf numFmtId="1" fontId="0" fillId="4" borderId="0" xfId="0" applyNumberFormat="1" applyFill="1" applyAlignment="1">
      <alignment horizontal="center"/>
    </xf>
    <xf numFmtId="168" fontId="0" fillId="7" borderId="0" xfId="2" applyNumberFormat="1" applyFont="1" applyFill="1" applyAlignment="1">
      <alignment horizontal="center"/>
    </xf>
    <xf numFmtId="1" fontId="0" fillId="7" borderId="0" xfId="0" applyNumberFormat="1" applyFill="1" applyAlignment="1">
      <alignment horizontal="center"/>
    </xf>
    <xf numFmtId="164" fontId="0" fillId="7" borderId="0" xfId="0" applyNumberFormat="1" applyFill="1" applyAlignment="1">
      <alignment horizontal="center"/>
    </xf>
    <xf numFmtId="2" fontId="0" fillId="0" borderId="0" xfId="0" applyNumberFormat="1"/>
    <xf numFmtId="0" fontId="5" fillId="6" borderId="0" xfId="0" applyFont="1" applyFill="1" applyAlignment="1">
      <alignment horizontal="center" vertical="center" wrapText="1"/>
    </xf>
    <xf numFmtId="0" fontId="0" fillId="0" borderId="1" xfId="0" applyBorder="1" applyAlignment="1"/>
    <xf numFmtId="0" fontId="11" fillId="3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0" borderId="2" xfId="0" applyBorder="1"/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44" fontId="0" fillId="0" borderId="4" xfId="0" applyNumberFormat="1" applyBorder="1"/>
    <xf numFmtId="165" fontId="0" fillId="0" borderId="0" xfId="0" applyNumberFormat="1" applyAlignment="1">
      <alignment horizontal="center"/>
    </xf>
    <xf numFmtId="0" fontId="0" fillId="0" borderId="5" xfId="0" applyBorder="1" applyAlignment="1"/>
    <xf numFmtId="0" fontId="0" fillId="0" borderId="5" xfId="0" applyBorder="1"/>
    <xf numFmtId="0" fontId="0" fillId="6" borderId="0" xfId="0" applyFont="1" applyFill="1"/>
    <xf numFmtId="0" fontId="11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167" fontId="0" fillId="7" borderId="0" xfId="0" applyNumberFormat="1" applyFill="1" applyAlignment="1">
      <alignment horizontal="center"/>
    </xf>
    <xf numFmtId="164" fontId="0" fillId="7" borderId="0" xfId="2" applyNumberFormat="1" applyFont="1" applyFill="1" applyAlignment="1">
      <alignment horizontal="center"/>
    </xf>
    <xf numFmtId="164" fontId="0" fillId="7" borderId="0" xfId="2" applyNumberFormat="1" applyFont="1" applyFill="1"/>
    <xf numFmtId="1" fontId="2" fillId="7" borderId="0" xfId="0" applyNumberFormat="1" applyFont="1" applyFill="1" applyAlignment="1">
      <alignment horizontal="center"/>
    </xf>
    <xf numFmtId="0" fontId="0" fillId="0" borderId="0" xfId="0" applyFont="1" applyFill="1"/>
    <xf numFmtId="0" fontId="11" fillId="0" borderId="1" xfId="0" applyFont="1" applyFill="1" applyBorder="1" applyAlignment="1">
      <alignment vertical="center"/>
    </xf>
    <xf numFmtId="0" fontId="0" fillId="0" borderId="0" xfId="0" applyFill="1"/>
    <xf numFmtId="0" fontId="11" fillId="6" borderId="0" xfId="0" applyFont="1" applyFill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5" fillId="3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="161" zoomScaleNormal="161" workbookViewId="0">
      <selection activeCell="A20" sqref="A20"/>
    </sheetView>
  </sheetViews>
  <sheetFormatPr baseColWidth="10" defaultRowHeight="16" x14ac:dyDescent="0.2"/>
  <cols>
    <col min="1" max="1" width="36.5" customWidth="1"/>
    <col min="2" max="2" width="2" style="85" customWidth="1"/>
    <col min="3" max="3" width="21.6640625" customWidth="1"/>
    <col min="4" max="4" width="17.5" customWidth="1"/>
    <col min="5" max="5" width="1.5" customWidth="1"/>
    <col min="6" max="6" width="12.1640625" bestFit="1" customWidth="1"/>
    <col min="7" max="7" width="19.1640625" customWidth="1"/>
  </cols>
  <sheetData>
    <row r="1" spans="1:7" x14ac:dyDescent="0.2">
      <c r="A1" s="76"/>
      <c r="B1" s="83"/>
      <c r="C1" s="86" t="s">
        <v>72</v>
      </c>
      <c r="D1" s="86"/>
      <c r="E1" s="83"/>
      <c r="F1" s="86" t="s">
        <v>66</v>
      </c>
      <c r="G1" s="86"/>
    </row>
    <row r="2" spans="1:7" x14ac:dyDescent="0.2">
      <c r="A2" s="77" t="s">
        <v>30</v>
      </c>
      <c r="B2" s="84"/>
      <c r="C2" s="78" t="s">
        <v>58</v>
      </c>
      <c r="D2" s="78" t="s">
        <v>67</v>
      </c>
      <c r="E2" s="83"/>
      <c r="F2" s="78" t="s">
        <v>58</v>
      </c>
      <c r="G2" s="78" t="s">
        <v>67</v>
      </c>
    </row>
    <row r="3" spans="1:7" x14ac:dyDescent="0.2">
      <c r="A3" s="38" t="s">
        <v>31</v>
      </c>
      <c r="C3" s="79">
        <f>CALCULATOR!B23</f>
        <v>155420769.23076922</v>
      </c>
      <c r="D3" s="79">
        <f>CALCULATOR!D25</f>
        <v>466262307.69230765</v>
      </c>
      <c r="F3" s="79">
        <f>CALCULATOR!B23</f>
        <v>155420769.23076922</v>
      </c>
      <c r="G3" s="79">
        <f>D3</f>
        <v>466262307.69230765</v>
      </c>
    </row>
    <row r="4" spans="1:7" x14ac:dyDescent="0.2">
      <c r="A4" s="38" t="s">
        <v>70</v>
      </c>
      <c r="C4" s="79">
        <f>CALCULATOR!G23</f>
        <v>138598844.32038143</v>
      </c>
      <c r="D4" s="79">
        <f>CALCULATOR!I25</f>
        <v>372867919.39191353</v>
      </c>
      <c r="F4" s="79">
        <f>CALCULATOR!K23</f>
        <v>149761878.20512816</v>
      </c>
      <c r="G4" s="79">
        <f>CALCULATOR!M25</f>
        <v>422419537.99999988</v>
      </c>
    </row>
    <row r="5" spans="1:7" x14ac:dyDescent="0.2">
      <c r="A5" s="39" t="s">
        <v>69</v>
      </c>
      <c r="B5" s="49"/>
      <c r="C5" s="79">
        <f>CALCULATOR!G21+CALCULATOR!G9</f>
        <v>4422075.0896121925</v>
      </c>
      <c r="D5" s="79">
        <f>SUM(CALCULATOR!G21:I21)+SUM(CALCULATOR!G9:I9)</f>
        <v>13849732.961144272</v>
      </c>
      <c r="F5" s="79">
        <f>CALCULATOR!K21+CALCULATOR!K9</f>
        <v>4152493.5897435895</v>
      </c>
      <c r="G5" s="79">
        <f>SUM(CALCULATOR!K9:M9)+SUM(CALCULATOR!K21:M21)</f>
        <v>12717419.23076923</v>
      </c>
    </row>
    <row r="6" spans="1:7" x14ac:dyDescent="0.2">
      <c r="A6" s="38" t="s">
        <v>68</v>
      </c>
      <c r="C6" s="79">
        <f>C3-C4</f>
        <v>16821924.910387784</v>
      </c>
      <c r="D6" s="79">
        <f>D3-D4</f>
        <v>93394388.300394118</v>
      </c>
      <c r="F6" s="79">
        <f>F3-F4</f>
        <v>5658891.0256410539</v>
      </c>
      <c r="G6" s="79">
        <f>G3-G4</f>
        <v>43842769.69230777</v>
      </c>
    </row>
    <row r="7" spans="1:7" x14ac:dyDescent="0.2">
      <c r="A7" s="38" t="s">
        <v>32</v>
      </c>
      <c r="C7" s="80">
        <f>(C3-C4)/C3</f>
        <v>0.10823472946148234</v>
      </c>
      <c r="D7" s="80">
        <f>(D3-D4)/D3</f>
        <v>0.20030439252667673</v>
      </c>
      <c r="F7" s="80">
        <f>(F3-F4)/F3</f>
        <v>3.6410133945732281E-2</v>
      </c>
      <c r="G7" s="80">
        <f>(G3-G4)/G3</f>
        <v>9.4030267874966558E-2</v>
      </c>
    </row>
    <row r="8" spans="1:7" x14ac:dyDescent="0.2">
      <c r="A8" s="38"/>
      <c r="C8" s="81"/>
      <c r="D8" s="81"/>
      <c r="F8" s="81"/>
      <c r="G8" s="81"/>
    </row>
    <row r="9" spans="1:7" x14ac:dyDescent="0.2">
      <c r="A9" s="38" t="s">
        <v>33</v>
      </c>
      <c r="C9" s="82" t="str">
        <f>ROUND(C6/C5,1) &amp; "x"</f>
        <v>3.8x</v>
      </c>
      <c r="D9" s="82" t="str">
        <f>ROUND(D6/D5,1) &amp; "x"</f>
        <v>6.7x</v>
      </c>
      <c r="F9" s="82" t="str">
        <f>ROUND(F6/F5,1) &amp; "x"</f>
        <v>1.4x</v>
      </c>
      <c r="G9" s="82" t="str">
        <f>ROUND(G6/G5,1) &amp; "x"</f>
        <v>3.4x</v>
      </c>
    </row>
    <row r="12" spans="1:7" x14ac:dyDescent="0.2">
      <c r="A12" t="s">
        <v>74</v>
      </c>
    </row>
    <row r="13" spans="1:7" x14ac:dyDescent="0.2">
      <c r="A13" t="s">
        <v>75</v>
      </c>
    </row>
    <row r="16" spans="1:7" x14ac:dyDescent="0.2">
      <c r="A16" t="s">
        <v>76</v>
      </c>
    </row>
    <row r="17" spans="1:1" x14ac:dyDescent="0.2">
      <c r="A17" t="s">
        <v>77</v>
      </c>
    </row>
  </sheetData>
  <mergeCells count="2">
    <mergeCell ref="C1:D1"/>
    <mergeCell ref="F1:G1"/>
  </mergeCells>
  <conditionalFormatting sqref="D9">
    <cfRule type="cellIs" dxfId="3" priority="4" operator="greaterThan">
      <formula>0</formula>
    </cfRule>
  </conditionalFormatting>
  <conditionalFormatting sqref="G9">
    <cfRule type="cellIs" dxfId="2" priority="2" operator="greaterThan">
      <formula>0</formula>
    </cfRule>
  </conditionalFormatting>
  <conditionalFormatting sqref="C9">
    <cfRule type="cellIs" dxfId="1" priority="3" operator="greaterThan">
      <formula>0</formula>
    </cfRule>
  </conditionalFormatting>
  <conditionalFormatting sqref="F9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opLeftCell="E1" zoomScale="152" zoomScaleNormal="152" workbookViewId="0">
      <selection activeCell="I12" sqref="I12"/>
    </sheetView>
  </sheetViews>
  <sheetFormatPr baseColWidth="10" defaultRowHeight="16" x14ac:dyDescent="0.2"/>
  <cols>
    <col min="1" max="1" width="49.1640625" bestFit="1" customWidth="1"/>
    <col min="2" max="2" width="15" bestFit="1" customWidth="1"/>
    <col min="3" max="4" width="13.5" bestFit="1" customWidth="1"/>
    <col min="7" max="7" width="15" style="11" bestFit="1" customWidth="1"/>
    <col min="8" max="9" width="15" bestFit="1" customWidth="1"/>
    <col min="10" max="10" width="12.5" bestFit="1" customWidth="1"/>
    <col min="11" max="12" width="15" bestFit="1" customWidth="1"/>
    <col min="13" max="13" width="16.1640625" customWidth="1"/>
  </cols>
  <sheetData>
    <row r="1" spans="1:13" x14ac:dyDescent="0.2">
      <c r="A1" t="s">
        <v>10</v>
      </c>
      <c r="B1" s="11" t="s">
        <v>19</v>
      </c>
      <c r="G1" s="87" t="s">
        <v>73</v>
      </c>
      <c r="H1" s="87"/>
      <c r="I1" s="87"/>
      <c r="K1" s="87" t="s">
        <v>71</v>
      </c>
      <c r="L1" s="87"/>
      <c r="M1" s="87"/>
    </row>
    <row r="2" spans="1:13" x14ac:dyDescent="0.2">
      <c r="B2" s="11"/>
      <c r="K2" s="11"/>
    </row>
    <row r="3" spans="1:13" x14ac:dyDescent="0.2">
      <c r="A3" t="s">
        <v>38</v>
      </c>
      <c r="B3" s="12">
        <v>0</v>
      </c>
      <c r="G3" s="88">
        <f>ASSUMPTIONS!F36</f>
        <v>0.1</v>
      </c>
      <c r="H3" s="88"/>
      <c r="I3" s="88"/>
      <c r="K3" s="88">
        <f>ASSUMPTIONS!J36</f>
        <v>0.23432709188825418</v>
      </c>
      <c r="L3" s="88"/>
      <c r="M3" s="88"/>
    </row>
    <row r="4" spans="1:13" x14ac:dyDescent="0.2">
      <c r="B4" s="2"/>
      <c r="G4" s="12"/>
      <c r="K4" s="12"/>
    </row>
    <row r="5" spans="1:13" x14ac:dyDescent="0.2">
      <c r="A5" t="s">
        <v>42</v>
      </c>
      <c r="B5" s="48" t="s">
        <v>58</v>
      </c>
      <c r="C5" s="48" t="s">
        <v>59</v>
      </c>
      <c r="D5" s="48" t="s">
        <v>60</v>
      </c>
      <c r="E5" s="64"/>
      <c r="F5" s="64"/>
      <c r="G5" s="74"/>
      <c r="H5" s="75"/>
      <c r="I5" s="75"/>
      <c r="K5" s="74"/>
      <c r="L5" s="75"/>
      <c r="M5" s="75"/>
    </row>
    <row r="6" spans="1:13" x14ac:dyDescent="0.2">
      <c r="B6" s="14"/>
      <c r="K6" s="11"/>
    </row>
    <row r="7" spans="1:13" x14ac:dyDescent="0.2">
      <c r="A7" s="7" t="s">
        <v>24</v>
      </c>
      <c r="B7" s="9">
        <f>ASSUMPTIONS!C9*ASSUMPTIONS!C6</f>
        <v>50540000</v>
      </c>
      <c r="C7" s="9">
        <f>B7</f>
        <v>50540000</v>
      </c>
      <c r="D7" s="9">
        <f>C7</f>
        <v>50540000</v>
      </c>
      <c r="G7" s="9">
        <f>ASSUMPTIONS!I9*ASSUMPTIONS!I6</f>
        <v>38684000</v>
      </c>
      <c r="H7" s="9">
        <f>ASSUMPTIONS!J9*ASSUMPTIONS!J6</f>
        <v>29640000</v>
      </c>
      <c r="I7" s="9">
        <f>ASSUMPTIONS!K9*ASSUMPTIONS!K6</f>
        <v>22724000</v>
      </c>
      <c r="K7" s="9">
        <f>ASSUMPTIONS!E9*ASSUMPTIONS!E6</f>
        <v>45524000</v>
      </c>
      <c r="L7" s="9">
        <f>ASSUMPTIONS!F9*ASSUMPTIONS!F6</f>
        <v>40964000</v>
      </c>
      <c r="M7" s="9">
        <f>ASSUMPTIONS!G9*ASSUMPTIONS!G6</f>
        <v>36860000</v>
      </c>
    </row>
    <row r="8" spans="1:13" x14ac:dyDescent="0.2">
      <c r="A8" s="7" t="s">
        <v>25</v>
      </c>
      <c r="B8" s="8">
        <f>ASSUMPTIONS!C15*ASSUMPTIONS!C8*8*ASSUMPTIONS!C6</f>
        <v>16880769.230769232</v>
      </c>
      <c r="C8" s="9">
        <f t="shared" ref="C8:D10" si="0">B8</f>
        <v>16880769.230769232</v>
      </c>
      <c r="D8" s="9">
        <f t="shared" si="0"/>
        <v>16880769.230769232</v>
      </c>
      <c r="G8" s="8">
        <f>ASSUMPTIONS!I15*ASSUMPTIONS!I8*8*ASSUMPTIONS!I6</f>
        <v>12920769.230769232</v>
      </c>
      <c r="H8" s="8">
        <f>ASSUMPTIONS!J15*ASSUMPTIONS!J8*8*ASSUMPTIONS!J6</f>
        <v>9900000</v>
      </c>
      <c r="I8" s="8">
        <f>ASSUMPTIONS!K15*ASSUMPTIONS!K8*8*ASSUMPTIONS!K6</f>
        <v>7590000.0000000009</v>
      </c>
      <c r="K8" s="8">
        <f>ASSUMPTIONS!E15*ASSUMPTIONS!E8*8*ASSUMPTIONS!E6</f>
        <v>15205384.615384616</v>
      </c>
      <c r="L8" s="8">
        <f>ASSUMPTIONS!F15*ASSUMPTIONS!F8*8*ASSUMPTIONS!F6</f>
        <v>13682307.692307694</v>
      </c>
      <c r="M8" s="8">
        <f>ASSUMPTIONS!G15*ASSUMPTIONS!G8*8*ASSUMPTIONS!G6</f>
        <v>12311538.461538462</v>
      </c>
    </row>
    <row r="9" spans="1:13" x14ac:dyDescent="0.2">
      <c r="A9" s="7" t="s">
        <v>54</v>
      </c>
      <c r="B9" s="8">
        <v>0</v>
      </c>
      <c r="C9" s="9">
        <f t="shared" si="0"/>
        <v>0</v>
      </c>
      <c r="D9" s="9">
        <f t="shared" si="0"/>
        <v>0</v>
      </c>
      <c r="G9" s="8">
        <f>ASSUMPTIONS!I21*ASSUMPTIONS!I22*8*ASSUMPTIONS!I14*(ASSUMPTIONS!$C$5-ASSUMPTIONS!$C$6)/3</f>
        <v>3838153.846153846</v>
      </c>
      <c r="H9" s="8">
        <f>ASSUMPTIONS!J21*ASSUMPTIONS!J22*8*ASSUMPTIONS!J14*(ASSUMPTIONS!J5-ASSUMPTIONS!I6)/3</f>
        <v>4049353.846153846</v>
      </c>
      <c r="I9" s="8">
        <f>ASSUMPTIONS!K21*ASSUMPTIONS!K22*8*ASSUMPTIONS!K14*(ASSUMPTIONS!K5-ASSUMPTIONS!J6)/3</f>
        <v>4210461.538461539</v>
      </c>
      <c r="K9" s="8">
        <f>ASSUMPTIONS!E21*ASSUMPTIONS!E22*8*ASSUMPTIONS!E14*(ASSUMPTIONS!$C$5-ASSUMPTIONS!$C$6)/3</f>
        <v>3838153.846153846</v>
      </c>
      <c r="L9" s="8">
        <f>ASSUMPTIONS!F21*ASSUMPTIONS!F22*8*ASSUMPTIONS!F14*(ASSUMPTIONS!F5-ASSUMPTIONS!E6)/3</f>
        <v>3927507.692307692</v>
      </c>
      <c r="M9" s="8">
        <f>ASSUMPTIONS!G21*ASSUMPTIONS!G22*8*ASSUMPTIONS!G14*(ASSUMPTIONS!G5-ASSUMPTIONS!F6)/3</f>
        <v>4008738.4615384615</v>
      </c>
    </row>
    <row r="10" spans="1:13" x14ac:dyDescent="0.2">
      <c r="A10" s="7" t="s">
        <v>20</v>
      </c>
      <c r="B10" s="8">
        <f>(1-ASSUMPTIONS!C12)*ASSUMPTIONS!C19</f>
        <v>87999999.999999985</v>
      </c>
      <c r="C10" s="9">
        <f t="shared" si="0"/>
        <v>87999999.999999985</v>
      </c>
      <c r="D10" s="9">
        <f t="shared" si="0"/>
        <v>87999999.999999985</v>
      </c>
      <c r="G10" s="8">
        <f>(1-ASSUMPTIONS!I12)*ASSUMPTIONS!I19</f>
        <v>82572000</v>
      </c>
      <c r="H10" s="8">
        <f>(1-ASSUMPTIONS!J12)*ASSUMPTIONS!J19</f>
        <v>79197720</v>
      </c>
      <c r="I10" s="8">
        <f>(1-ASSUMPTIONS!K12)*ASSUMPTIONS!K19</f>
        <v>75789697.200000003</v>
      </c>
      <c r="K10" s="8">
        <f>(1-ASSUMPTIONS!E12)*ASSUMPTIONS!E19</f>
        <v>84879999.999999985</v>
      </c>
      <c r="L10" s="8">
        <f>(1-ASSUMPTIONS!F12)*ASSUMPTIONS!F19</f>
        <v>81728799.999999955</v>
      </c>
      <c r="M10" s="8">
        <f>(1-ASSUMPTIONS!G12)*ASSUMPTIONS!G19</f>
        <v>78546087.999999955</v>
      </c>
    </row>
    <row r="11" spans="1:13" x14ac:dyDescent="0.2">
      <c r="B11" s="6"/>
      <c r="C11" s="6"/>
      <c r="D11" s="6"/>
      <c r="G11" s="6"/>
      <c r="H11" s="6"/>
      <c r="I11" s="6"/>
      <c r="K11" s="6"/>
      <c r="L11" s="6"/>
      <c r="M11" s="6"/>
    </row>
    <row r="12" spans="1:13" x14ac:dyDescent="0.2">
      <c r="A12" s="10" t="s">
        <v>26</v>
      </c>
      <c r="B12" s="9">
        <f>SUM(B7:B11)</f>
        <v>155420769.23076922</v>
      </c>
      <c r="C12" s="9">
        <f>B12</f>
        <v>155420769.23076922</v>
      </c>
      <c r="D12" s="9">
        <f>C12</f>
        <v>155420769.23076922</v>
      </c>
      <c r="G12" s="9">
        <f>SUM(G7:G11)</f>
        <v>138014923.07692307</v>
      </c>
      <c r="H12" s="9">
        <f t="shared" ref="H12:I12" si="1">SUM(H7:H11)</f>
        <v>122787073.84615386</v>
      </c>
      <c r="I12" s="9">
        <f t="shared" si="1"/>
        <v>110314158.73846154</v>
      </c>
      <c r="K12" s="9">
        <f>SUM(K7:K11)</f>
        <v>149447538.46153843</v>
      </c>
      <c r="L12" s="9">
        <f t="shared" ref="L12" si="2">SUM(L7:L11)</f>
        <v>140302615.38461536</v>
      </c>
      <c r="M12" s="9">
        <f t="shared" ref="M12" si="3">SUM(M7:M11)</f>
        <v>131726364.92307688</v>
      </c>
    </row>
    <row r="13" spans="1:13" x14ac:dyDescent="0.2">
      <c r="K13" s="11"/>
    </row>
    <row r="14" spans="1:13" x14ac:dyDescent="0.2">
      <c r="A14" s="10" t="s">
        <v>41</v>
      </c>
      <c r="K14" s="11"/>
    </row>
    <row r="15" spans="1:13" x14ac:dyDescent="0.2">
      <c r="K15" s="11"/>
    </row>
    <row r="16" spans="1:13" x14ac:dyDescent="0.2">
      <c r="A16" s="49" t="s">
        <v>43</v>
      </c>
      <c r="B16" s="5">
        <v>0</v>
      </c>
      <c r="C16" s="5">
        <v>0</v>
      </c>
      <c r="D16" s="5">
        <v>0</v>
      </c>
      <c r="G16" s="15">
        <f>ASSUMPTIONS!$J$26*ASSUMPTIONS!I10*ASSUMPTIONS!$J$29</f>
        <v>15817.078702457156</v>
      </c>
      <c r="H16" s="15">
        <f>G16</f>
        <v>15817.078702457156</v>
      </c>
      <c r="I16" s="15">
        <f>H16</f>
        <v>15817.078702457156</v>
      </c>
      <c r="K16" s="15">
        <f>ASSUMPTIONS!$F$26*ASSUMPTIONS!E10*ASSUMPTIONS!$F$29</f>
        <v>6750</v>
      </c>
      <c r="L16" s="15">
        <f>K16</f>
        <v>6750</v>
      </c>
      <c r="M16" s="15">
        <f>L16</f>
        <v>6750</v>
      </c>
    </row>
    <row r="17" spans="1:13" x14ac:dyDescent="0.2">
      <c r="A17" s="49" t="str">
        <f>"Equipment of purchase (depreciated over "&amp; ASSUMPTIONS!F28 &amp; " years)"</f>
        <v>Equipment of purchase (depreciated over 3 years)</v>
      </c>
      <c r="B17" s="5">
        <v>0</v>
      </c>
      <c r="C17" s="5">
        <v>0</v>
      </c>
      <c r="D17" s="5">
        <v>0</v>
      </c>
      <c r="G17" s="15">
        <f>+ASSUMPTIONS!J27/3</f>
        <v>104145.37417255739</v>
      </c>
      <c r="H17" s="15">
        <f t="shared" ref="H17:I19" si="4">G17</f>
        <v>104145.37417255739</v>
      </c>
      <c r="I17" s="15">
        <f t="shared" si="4"/>
        <v>104145.37417255739</v>
      </c>
      <c r="K17" s="15">
        <f>+ASSUMPTIONS!F27/3</f>
        <v>66666.666666666672</v>
      </c>
      <c r="L17" s="15">
        <f t="shared" ref="L17:M17" si="5">K17</f>
        <v>66666.666666666672</v>
      </c>
      <c r="M17" s="15">
        <f t="shared" si="5"/>
        <v>66666.666666666672</v>
      </c>
    </row>
    <row r="18" spans="1:13" x14ac:dyDescent="0.2">
      <c r="A18" s="7" t="s">
        <v>45</v>
      </c>
      <c r="B18" s="5">
        <v>0</v>
      </c>
      <c r="C18" s="5">
        <v>0</v>
      </c>
      <c r="D18" s="5">
        <v>0</v>
      </c>
      <c r="G18" s="15">
        <f>ASSUMPTIONS!J31*ASSUMPTIONS!J33*ASSUMPTIONS!J10*ASSUMPTIONS!J32</f>
        <v>274153.84615384613</v>
      </c>
      <c r="H18" s="15">
        <f t="shared" si="4"/>
        <v>274153.84615384613</v>
      </c>
      <c r="I18" s="15">
        <f t="shared" si="4"/>
        <v>274153.84615384613</v>
      </c>
      <c r="K18" s="15">
        <f>ASSUMPTIONS!F31*ASSUMPTIONS!F33*ASSUMPTIONS!G10*ASSUMPTIONS!F32</f>
        <v>159923.07692307694</v>
      </c>
      <c r="L18" s="15">
        <f t="shared" ref="L18:M18" si="6">K18</f>
        <v>159923.07692307694</v>
      </c>
      <c r="M18" s="15">
        <f t="shared" si="6"/>
        <v>159923.07692307694</v>
      </c>
    </row>
    <row r="19" spans="1:13" x14ac:dyDescent="0.2">
      <c r="A19" s="7" t="s">
        <v>44</v>
      </c>
      <c r="B19" s="5">
        <v>0</v>
      </c>
      <c r="C19" s="5">
        <v>0</v>
      </c>
      <c r="D19" s="5">
        <v>0</v>
      </c>
      <c r="G19" s="15">
        <f>ASSUMPTIONS!J34*ASSUMPTIONS!J32*ASSUMPTIONS!J10</f>
        <v>189804.94442948588</v>
      </c>
      <c r="H19" s="15">
        <f t="shared" si="4"/>
        <v>189804.94442948588</v>
      </c>
      <c r="I19" s="15">
        <f t="shared" si="4"/>
        <v>189804.94442948588</v>
      </c>
      <c r="K19" s="15">
        <f>ASSUMPTIONS!F34*ASSUMPTIONS!F32*ASSUMPTIONS!G10</f>
        <v>81000</v>
      </c>
      <c r="L19" s="15">
        <f t="shared" ref="L19:M19" si="7">K19</f>
        <v>81000</v>
      </c>
      <c r="M19" s="15">
        <f t="shared" si="7"/>
        <v>81000</v>
      </c>
    </row>
    <row r="20" spans="1:13" x14ac:dyDescent="0.2">
      <c r="B20" s="16"/>
      <c r="C20" s="6"/>
      <c r="D20" s="6"/>
      <c r="G20" s="13"/>
      <c r="H20" s="71"/>
      <c r="I20" s="71"/>
      <c r="K20" s="48"/>
      <c r="L20" s="71"/>
      <c r="M20" s="71"/>
    </row>
    <row r="21" spans="1:13" x14ac:dyDescent="0.2">
      <c r="B21" s="15">
        <f>SUM(B16:B19)</f>
        <v>0</v>
      </c>
      <c r="C21" s="15">
        <f>SUM(C16:C19)</f>
        <v>0</v>
      </c>
      <c r="D21" s="15">
        <f>SUM(D16:D19)</f>
        <v>0</v>
      </c>
      <c r="G21" s="15">
        <f>SUM(G16:G19)</f>
        <v>583921.24345834658</v>
      </c>
      <c r="H21" s="72">
        <f t="shared" ref="H21:I21" si="8">G21</f>
        <v>583921.24345834658</v>
      </c>
      <c r="I21" s="72">
        <f t="shared" si="8"/>
        <v>583921.24345834658</v>
      </c>
      <c r="K21" s="15">
        <f>SUM(K16:K19)</f>
        <v>314339.74358974362</v>
      </c>
      <c r="L21" s="72">
        <f t="shared" ref="L21:M21" si="9">K21</f>
        <v>314339.74358974362</v>
      </c>
      <c r="M21" s="72">
        <f t="shared" si="9"/>
        <v>314339.74358974362</v>
      </c>
    </row>
    <row r="22" spans="1:13" x14ac:dyDescent="0.2">
      <c r="K22" s="11"/>
    </row>
    <row r="23" spans="1:13" x14ac:dyDescent="0.2">
      <c r="A23" t="s">
        <v>29</v>
      </c>
      <c r="B23" s="9">
        <f>B21+B12</f>
        <v>155420769.23076922</v>
      </c>
      <c r="C23" s="9">
        <f>C21+C12</f>
        <v>155420769.23076922</v>
      </c>
      <c r="D23" s="9">
        <f>D21+D12</f>
        <v>155420769.23076922</v>
      </c>
      <c r="G23" s="9">
        <f>G21+G12</f>
        <v>138598844.32038143</v>
      </c>
      <c r="H23" s="9">
        <f t="shared" ref="H23:I23" si="10">H21+H12</f>
        <v>123370995.0896122</v>
      </c>
      <c r="I23" s="9">
        <f t="shared" si="10"/>
        <v>110898079.98191988</v>
      </c>
      <c r="K23" s="9">
        <f>K21+K12</f>
        <v>149761878.20512816</v>
      </c>
      <c r="L23" s="9">
        <f t="shared" ref="L23:M23" si="11">L21+L12</f>
        <v>140616955.12820509</v>
      </c>
      <c r="M23" s="9">
        <f t="shared" si="11"/>
        <v>132040704.66666663</v>
      </c>
    </row>
    <row r="24" spans="1:13" x14ac:dyDescent="0.2">
      <c r="G24" s="73"/>
      <c r="H24" s="73"/>
      <c r="I24" s="73"/>
      <c r="J24" s="9"/>
      <c r="K24" s="73"/>
      <c r="L24" s="73"/>
      <c r="M24" s="73"/>
    </row>
    <row r="25" spans="1:13" ht="32" customHeight="1" x14ac:dyDescent="0.2">
      <c r="A25" t="s">
        <v>61</v>
      </c>
      <c r="D25" s="9">
        <f>SUM(B23:D23)</f>
        <v>466262307.69230765</v>
      </c>
      <c r="I25" s="9">
        <f>SUM(G23:I23)</f>
        <v>372867919.39191353</v>
      </c>
      <c r="K25" s="11"/>
      <c r="M25" s="9">
        <f>SUM(K23:M23)</f>
        <v>422419537.99999988</v>
      </c>
    </row>
  </sheetData>
  <mergeCells count="4">
    <mergeCell ref="G1:I1"/>
    <mergeCell ref="G3:I3"/>
    <mergeCell ref="K1:M1"/>
    <mergeCell ref="K3:M3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FE604B01-7D86-8D46-A82D-FA9AEDA0707B}">
            <x14:iconSet iconSet="3Arrows" custom="1">
              <x14:cfvo type="percent">
                <xm:f>0</xm:f>
              </x14:cfvo>
              <x14:cfvo type="percent" gte="0">
                <xm:f>$B$23</xm:f>
              </x14:cfvo>
              <x14:cfvo type="num">
                <xm:f>$B$23</xm:f>
              </x14:cfvo>
              <x14:cfIcon iconSet="3Arrows" iconId="0"/>
              <x14:cfIcon iconSet="3Arrows" iconId="0"/>
              <x14:cfIcon iconSet="3Arrows" iconId="2"/>
            </x14:iconSet>
          </x14:cfRule>
          <xm:sqref>G23</xm:sqref>
        </x14:conditionalFormatting>
        <x14:conditionalFormatting xmlns:xm="http://schemas.microsoft.com/office/excel/2006/main">
          <x14:cfRule type="iconSet" priority="3" id="{551920A0-DAEE-C94F-96FD-9539871598F2}">
            <x14:iconSet iconSet="3Arrows" custom="1">
              <x14:cfvo type="percent">
                <xm:f>0</xm:f>
              </x14:cfvo>
              <x14:cfvo type="percent" gte="0">
                <xm:f>$B$23</xm:f>
              </x14:cfvo>
              <x14:cfvo type="num">
                <xm:f>$B$23</xm:f>
              </x14:cfvo>
              <x14:cfIcon iconSet="3Arrows" iconId="0"/>
              <x14:cfIcon iconSet="3Arrows" iconId="0"/>
              <x14:cfIcon iconSet="3Arrows" iconId="2"/>
            </x14:iconSet>
          </x14:cfRule>
          <xm:sqref>H23:I23</xm:sqref>
        </x14:conditionalFormatting>
        <x14:conditionalFormatting xmlns:xm="http://schemas.microsoft.com/office/excel/2006/main">
          <x14:cfRule type="iconSet" priority="2" id="{7DD265D9-F454-8E4F-B2A6-8CF0D0E0A95A}">
            <x14:iconSet iconSet="3Arrows" custom="1">
              <x14:cfvo type="percent">
                <xm:f>0</xm:f>
              </x14:cfvo>
              <x14:cfvo type="percent" gte="0">
                <xm:f>$B$23</xm:f>
              </x14:cfvo>
              <x14:cfvo type="num">
                <xm:f>$B$23</xm:f>
              </x14:cfvo>
              <x14:cfIcon iconSet="3Arrows" iconId="0"/>
              <x14:cfIcon iconSet="3Arrows" iconId="0"/>
              <x14:cfIcon iconSet="3Arrows" iconId="2"/>
            </x14:iconSet>
          </x14:cfRule>
          <xm:sqref>K23</xm:sqref>
        </x14:conditionalFormatting>
        <x14:conditionalFormatting xmlns:xm="http://schemas.microsoft.com/office/excel/2006/main">
          <x14:cfRule type="iconSet" priority="1" id="{BD9BDCB4-0544-D144-A86B-B7A60BCC615D}">
            <x14:iconSet iconSet="3Arrows" custom="1">
              <x14:cfvo type="percent">
                <xm:f>0</xm:f>
              </x14:cfvo>
              <x14:cfvo type="percent" gte="0">
                <xm:f>$B$23</xm:f>
              </x14:cfvo>
              <x14:cfvo type="num">
                <xm:f>$B$23</xm:f>
              </x14:cfvo>
              <x14:cfIcon iconSet="3Arrows" iconId="0"/>
              <x14:cfIcon iconSet="3Arrows" iconId="0"/>
              <x14:cfIcon iconSet="3Arrows" iconId="2"/>
            </x14:iconSet>
          </x14:cfRule>
          <xm:sqref>L23:M23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0"/>
  <sheetViews>
    <sheetView topLeftCell="C10" zoomScale="112" zoomScaleNormal="112" workbookViewId="0">
      <selection activeCell="J34" sqref="J34"/>
    </sheetView>
  </sheetViews>
  <sheetFormatPr baseColWidth="10" defaultRowHeight="16" x14ac:dyDescent="0.2"/>
  <cols>
    <col min="1" max="1" width="48.1640625" bestFit="1" customWidth="1"/>
    <col min="2" max="2" width="4.83203125" customWidth="1"/>
    <col min="3" max="3" width="27.6640625" style="11" customWidth="1"/>
    <col min="4" max="4" width="4.33203125" customWidth="1"/>
    <col min="5" max="5" width="29.1640625" style="11" customWidth="1"/>
    <col min="6" max="7" width="29.1640625" customWidth="1"/>
    <col min="9" max="11" width="32.33203125" customWidth="1"/>
    <col min="27" max="52" width="7" style="11" customWidth="1"/>
  </cols>
  <sheetData>
    <row r="1" spans="1:52" ht="21" x14ac:dyDescent="0.25">
      <c r="E1" s="90" t="s">
        <v>66</v>
      </c>
      <c r="F1" s="90"/>
      <c r="G1" s="90"/>
      <c r="I1" s="90" t="s">
        <v>72</v>
      </c>
      <c r="J1" s="90"/>
      <c r="K1" s="90"/>
    </row>
    <row r="2" spans="1:52" s="45" customFormat="1" ht="42" x14ac:dyDescent="0.2">
      <c r="A2" s="41" t="s">
        <v>35</v>
      </c>
      <c r="B2" s="42"/>
      <c r="C2" s="43" t="s">
        <v>36</v>
      </c>
      <c r="D2" s="44"/>
      <c r="E2" s="68" t="s">
        <v>62</v>
      </c>
      <c r="F2" s="68" t="s">
        <v>62</v>
      </c>
      <c r="G2" s="69" t="s">
        <v>62</v>
      </c>
      <c r="I2" s="68" t="s">
        <v>62</v>
      </c>
      <c r="J2" s="68" t="s">
        <v>62</v>
      </c>
      <c r="K2" s="69" t="s">
        <v>62</v>
      </c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</row>
    <row r="3" spans="1:52" x14ac:dyDescent="0.2">
      <c r="A3" s="35"/>
      <c r="B3" s="1"/>
      <c r="C3" s="18"/>
      <c r="E3" s="65" t="s">
        <v>63</v>
      </c>
      <c r="F3" s="65" t="s">
        <v>64</v>
      </c>
      <c r="G3" s="70" t="s">
        <v>65</v>
      </c>
      <c r="I3" s="65" t="s">
        <v>63</v>
      </c>
      <c r="J3" s="65" t="s">
        <v>64</v>
      </c>
      <c r="K3" s="70" t="s">
        <v>65</v>
      </c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52" x14ac:dyDescent="0.2">
      <c r="A4" s="36" t="s">
        <v>0</v>
      </c>
      <c r="C4" s="19">
        <v>0.19</v>
      </c>
      <c r="D4" s="2"/>
      <c r="E4" s="30">
        <f>(1-$F$36)*C4</f>
        <v>0.17100000000000001</v>
      </c>
      <c r="F4" s="30">
        <f>(1-$F$36)*E4</f>
        <v>0.15390000000000001</v>
      </c>
      <c r="G4" s="30">
        <f>(1-$F$36)*F4</f>
        <v>0.13851000000000002</v>
      </c>
      <c r="I4" s="30">
        <f>(1-$J$36)*C4</f>
        <v>0.14547785254123172</v>
      </c>
      <c r="J4" s="30">
        <f>(1-$J$36)*I4</f>
        <v>0.11138845042109662</v>
      </c>
      <c r="K4" s="30">
        <f>(1-$J$36)*J4</f>
        <v>8.5287118763982067E-2</v>
      </c>
    </row>
    <row r="5" spans="1:52" x14ac:dyDescent="0.2">
      <c r="A5" s="36" t="s">
        <v>1</v>
      </c>
      <c r="C5" s="18">
        <v>3500</v>
      </c>
      <c r="E5" s="29">
        <f>C5</f>
        <v>3500</v>
      </c>
      <c r="F5" s="29">
        <f>E5</f>
        <v>3500</v>
      </c>
      <c r="G5" s="29">
        <f t="shared" ref="G5" si="0">E5</f>
        <v>3500</v>
      </c>
      <c r="I5" s="29">
        <f>G5</f>
        <v>3500</v>
      </c>
      <c r="J5" s="29">
        <f>I5</f>
        <v>3500</v>
      </c>
      <c r="K5" s="29">
        <f t="shared" ref="K5" si="1">I5</f>
        <v>3500</v>
      </c>
    </row>
    <row r="6" spans="1:52" x14ac:dyDescent="0.2">
      <c r="A6" s="36" t="s">
        <v>2</v>
      </c>
      <c r="C6" s="18">
        <f>C5*C4</f>
        <v>665</v>
      </c>
      <c r="E6" s="29">
        <f>ROUND(E5*E4,0)</f>
        <v>599</v>
      </c>
      <c r="F6" s="29">
        <f t="shared" ref="F6:G6" si="2">ROUND(F5*F4,0)</f>
        <v>539</v>
      </c>
      <c r="G6" s="29">
        <f t="shared" si="2"/>
        <v>485</v>
      </c>
      <c r="I6" s="29">
        <f>ROUND(I5*I4,0)</f>
        <v>509</v>
      </c>
      <c r="J6" s="29">
        <f t="shared" ref="J6" si="3">ROUND(J5*J4,0)</f>
        <v>390</v>
      </c>
      <c r="K6" s="29">
        <f t="shared" ref="K6" si="4">ROUND(K5*K4,0)</f>
        <v>299</v>
      </c>
    </row>
    <row r="7" spans="1:52" x14ac:dyDescent="0.2">
      <c r="A7" s="36" t="s">
        <v>4</v>
      </c>
      <c r="C7" s="20">
        <f>C4/12</f>
        <v>1.5833333333333335E-2</v>
      </c>
      <c r="D7" s="3"/>
      <c r="E7" s="30">
        <f>E4/12</f>
        <v>1.4250000000000001E-2</v>
      </c>
      <c r="F7" s="30">
        <f t="shared" ref="F7:G7" si="5">F4/12</f>
        <v>1.2825000000000001E-2</v>
      </c>
      <c r="G7" s="30">
        <f t="shared" si="5"/>
        <v>1.1542500000000002E-2</v>
      </c>
      <c r="I7" s="30">
        <f>I4/12</f>
        <v>1.2123154378435976E-2</v>
      </c>
      <c r="J7" s="30">
        <f t="shared" ref="J7:K7" si="6">J4/12</f>
        <v>9.2823708684247174E-3</v>
      </c>
      <c r="K7" s="30">
        <f t="shared" si="6"/>
        <v>7.1072598969985053E-3</v>
      </c>
    </row>
    <row r="8" spans="1:52" x14ac:dyDescent="0.2">
      <c r="A8" s="36" t="s">
        <v>27</v>
      </c>
      <c r="C8" s="21">
        <v>60</v>
      </c>
      <c r="D8" s="4"/>
      <c r="E8" s="31">
        <v>60</v>
      </c>
      <c r="F8" s="58">
        <f>E8</f>
        <v>60</v>
      </c>
      <c r="G8" s="58">
        <f>F8</f>
        <v>60</v>
      </c>
      <c r="I8" s="31">
        <v>60</v>
      </c>
      <c r="J8" s="58">
        <f>I8</f>
        <v>60</v>
      </c>
      <c r="K8" s="58">
        <f>J8</f>
        <v>60</v>
      </c>
    </row>
    <row r="9" spans="1:52" x14ac:dyDescent="0.2">
      <c r="A9" s="36" t="s">
        <v>12</v>
      </c>
      <c r="C9" s="22">
        <v>76000</v>
      </c>
      <c r="D9" s="5"/>
      <c r="E9" s="32">
        <f>$C$9</f>
        <v>76000</v>
      </c>
      <c r="F9" s="32">
        <f t="shared" ref="F9:G9" si="7">$C$9</f>
        <v>76000</v>
      </c>
      <c r="G9" s="32">
        <f t="shared" si="7"/>
        <v>76000</v>
      </c>
      <c r="I9" s="32">
        <f>$C$9</f>
        <v>76000</v>
      </c>
      <c r="J9" s="32">
        <f t="shared" ref="J9:K9" si="8">$C$9</f>
        <v>76000</v>
      </c>
      <c r="K9" s="32">
        <f t="shared" si="8"/>
        <v>76000</v>
      </c>
    </row>
    <row r="10" spans="1:52" x14ac:dyDescent="0.2">
      <c r="A10" s="36" t="s">
        <v>5</v>
      </c>
      <c r="C10" s="18">
        <v>90</v>
      </c>
      <c r="E10" s="29">
        <f>C10-F35</f>
        <v>90</v>
      </c>
      <c r="F10" s="66">
        <f>E10</f>
        <v>90</v>
      </c>
      <c r="G10" s="66">
        <f>F10</f>
        <v>90</v>
      </c>
      <c r="I10" s="29">
        <f>G10-J35</f>
        <v>90</v>
      </c>
      <c r="J10" s="66">
        <f>I10</f>
        <v>90</v>
      </c>
      <c r="K10" s="66">
        <f>J10</f>
        <v>90</v>
      </c>
    </row>
    <row r="11" spans="1:52" x14ac:dyDescent="0.2">
      <c r="A11" s="36" t="s">
        <v>6</v>
      </c>
      <c r="C11" s="19">
        <v>0.25</v>
      </c>
      <c r="D11" s="2"/>
      <c r="E11" s="33">
        <f>C11</f>
        <v>0.25</v>
      </c>
      <c r="F11" s="33">
        <f>E11</f>
        <v>0.25</v>
      </c>
      <c r="G11" s="33">
        <f>F11</f>
        <v>0.25</v>
      </c>
      <c r="I11" s="33">
        <f>G11</f>
        <v>0.25</v>
      </c>
      <c r="J11" s="33">
        <f>I11</f>
        <v>0.25</v>
      </c>
      <c r="K11" s="33">
        <f>J11</f>
        <v>0.25</v>
      </c>
    </row>
    <row r="12" spans="1:52" x14ac:dyDescent="0.2">
      <c r="A12" s="36" t="s">
        <v>3</v>
      </c>
      <c r="C12" s="19">
        <v>0.78</v>
      </c>
      <c r="D12" s="2"/>
      <c r="E12" s="30">
        <f>(1+$F$37)*C12</f>
        <v>0.78780000000000006</v>
      </c>
      <c r="F12" s="30">
        <f>(1+$F$37)*E12</f>
        <v>0.79567800000000011</v>
      </c>
      <c r="G12" s="30">
        <f>(1+$F$37)*F12</f>
        <v>0.8036347800000001</v>
      </c>
      <c r="I12" s="30">
        <f>(1+$J$37)*C12</f>
        <v>0.8034</v>
      </c>
      <c r="J12" s="30">
        <f>(1+$F$37)*I12</f>
        <v>0.81143399999999999</v>
      </c>
      <c r="K12" s="30">
        <f>(1+$F$37)*J12</f>
        <v>0.81954833999999999</v>
      </c>
    </row>
    <row r="13" spans="1:52" x14ac:dyDescent="0.2">
      <c r="A13" s="36" t="s">
        <v>7</v>
      </c>
      <c r="C13" s="23">
        <v>88000</v>
      </c>
      <c r="D13" s="5"/>
      <c r="E13" s="32">
        <f>C13</f>
        <v>88000</v>
      </c>
      <c r="F13" s="32">
        <f t="shared" ref="F13:G16" si="9">E13</f>
        <v>88000</v>
      </c>
      <c r="G13" s="32">
        <f t="shared" si="9"/>
        <v>88000</v>
      </c>
      <c r="I13" s="32">
        <f>G13</f>
        <v>88000</v>
      </c>
      <c r="J13" s="32">
        <f t="shared" ref="J13:K16" si="10">I13</f>
        <v>88000</v>
      </c>
      <c r="K13" s="32">
        <f t="shared" si="10"/>
        <v>88000</v>
      </c>
    </row>
    <row r="14" spans="1:52" x14ac:dyDescent="0.2">
      <c r="A14" s="36" t="s">
        <v>9</v>
      </c>
      <c r="C14" s="23">
        <f>C13/2080</f>
        <v>42.307692307692307</v>
      </c>
      <c r="D14" s="5"/>
      <c r="E14" s="34">
        <f>E13/2080</f>
        <v>42.307692307692307</v>
      </c>
      <c r="F14" s="32">
        <f t="shared" si="9"/>
        <v>42.307692307692307</v>
      </c>
      <c r="G14" s="32">
        <f t="shared" si="9"/>
        <v>42.307692307692307</v>
      </c>
      <c r="I14" s="34">
        <f>I13/2080</f>
        <v>42.307692307692307</v>
      </c>
      <c r="J14" s="32">
        <f t="shared" si="10"/>
        <v>42.307692307692307</v>
      </c>
      <c r="K14" s="32">
        <f t="shared" si="10"/>
        <v>42.307692307692307</v>
      </c>
    </row>
    <row r="15" spans="1:52" x14ac:dyDescent="0.2">
      <c r="A15" s="36" t="s">
        <v>8</v>
      </c>
      <c r="C15" s="23">
        <f>C13/2080*(1+C11)</f>
        <v>52.884615384615387</v>
      </c>
      <c r="D15" s="5"/>
      <c r="E15" s="34">
        <f>E13/2080*(1+E11)</f>
        <v>52.884615384615387</v>
      </c>
      <c r="F15" s="32">
        <f t="shared" si="9"/>
        <v>52.884615384615387</v>
      </c>
      <c r="G15" s="32">
        <f t="shared" si="9"/>
        <v>52.884615384615387</v>
      </c>
      <c r="I15" s="34">
        <f>I13/2080*(1+I11)</f>
        <v>52.884615384615387</v>
      </c>
      <c r="J15" s="32">
        <f t="shared" si="10"/>
        <v>52.884615384615387</v>
      </c>
      <c r="K15" s="32">
        <f t="shared" si="10"/>
        <v>52.884615384615387</v>
      </c>
    </row>
    <row r="16" spans="1:52" x14ac:dyDescent="0.2">
      <c r="A16" s="36" t="s">
        <v>34</v>
      </c>
      <c r="C16" s="23">
        <v>2000000000</v>
      </c>
      <c r="D16" s="5"/>
      <c r="E16" s="34">
        <v>2000000000</v>
      </c>
      <c r="F16" s="32">
        <f t="shared" si="9"/>
        <v>2000000000</v>
      </c>
      <c r="G16" s="32">
        <f t="shared" si="9"/>
        <v>2000000000</v>
      </c>
      <c r="I16" s="34">
        <v>2000000000</v>
      </c>
      <c r="J16" s="32">
        <f t="shared" si="10"/>
        <v>2000000000</v>
      </c>
      <c r="K16" s="32">
        <f t="shared" si="10"/>
        <v>2000000000</v>
      </c>
      <c r="AA16" s="89" t="s">
        <v>47</v>
      </c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</row>
    <row r="17" spans="1:52" x14ac:dyDescent="0.2">
      <c r="A17" s="36" t="s">
        <v>21</v>
      </c>
      <c r="C17" s="19"/>
      <c r="D17" s="2"/>
      <c r="E17" s="29"/>
      <c r="F17" s="29"/>
      <c r="G17" s="29"/>
      <c r="I17" s="29"/>
      <c r="J17" s="29"/>
      <c r="K17" s="29"/>
      <c r="AA17" s="11">
        <f>IF(AA18&lt;=$F$38,1,0)+L19</f>
        <v>0</v>
      </c>
      <c r="AB17" s="11">
        <f t="shared" ref="AB17:AZ17" si="11">IF(AB18&lt;=$F$38,1,0)+AA17</f>
        <v>0</v>
      </c>
      <c r="AC17" s="11">
        <f t="shared" si="11"/>
        <v>0</v>
      </c>
      <c r="AD17" s="11">
        <f t="shared" si="11"/>
        <v>0</v>
      </c>
      <c r="AE17" s="11">
        <f t="shared" si="11"/>
        <v>0</v>
      </c>
      <c r="AF17" s="11">
        <f t="shared" si="11"/>
        <v>0</v>
      </c>
      <c r="AG17" s="11">
        <f t="shared" si="11"/>
        <v>0</v>
      </c>
      <c r="AH17" s="11">
        <f t="shared" si="11"/>
        <v>0</v>
      </c>
      <c r="AI17" s="11">
        <f t="shared" si="11"/>
        <v>0</v>
      </c>
      <c r="AJ17" s="11">
        <f t="shared" si="11"/>
        <v>0</v>
      </c>
      <c r="AK17" s="11">
        <f t="shared" si="11"/>
        <v>0</v>
      </c>
      <c r="AL17" s="11">
        <f t="shared" si="11"/>
        <v>0</v>
      </c>
      <c r="AM17" s="11">
        <f t="shared" si="11"/>
        <v>1</v>
      </c>
      <c r="AN17" s="11">
        <f t="shared" si="11"/>
        <v>2</v>
      </c>
      <c r="AO17" s="11">
        <f t="shared" si="11"/>
        <v>3</v>
      </c>
      <c r="AP17" s="11">
        <f t="shared" si="11"/>
        <v>4</v>
      </c>
      <c r="AQ17" s="11">
        <f t="shared" si="11"/>
        <v>5</v>
      </c>
      <c r="AR17" s="11">
        <f t="shared" si="11"/>
        <v>6</v>
      </c>
      <c r="AS17" s="11">
        <f t="shared" si="11"/>
        <v>7</v>
      </c>
      <c r="AT17" s="11">
        <f t="shared" si="11"/>
        <v>8</v>
      </c>
      <c r="AU17" s="11">
        <f t="shared" si="11"/>
        <v>9</v>
      </c>
      <c r="AV17" s="11">
        <f t="shared" si="11"/>
        <v>10</v>
      </c>
      <c r="AW17" s="11">
        <f t="shared" si="11"/>
        <v>11</v>
      </c>
      <c r="AX17" s="11">
        <f t="shared" si="11"/>
        <v>12</v>
      </c>
      <c r="AY17" s="11">
        <f t="shared" si="11"/>
        <v>13</v>
      </c>
      <c r="AZ17" s="11">
        <f t="shared" si="11"/>
        <v>14</v>
      </c>
    </row>
    <row r="18" spans="1:52" x14ac:dyDescent="0.2">
      <c r="A18" s="37" t="s">
        <v>22</v>
      </c>
      <c r="B18" s="7"/>
      <c r="C18" s="19">
        <v>0.2</v>
      </c>
      <c r="D18" s="2"/>
      <c r="E18" s="33">
        <v>0.2</v>
      </c>
      <c r="F18" s="33">
        <f>E18</f>
        <v>0.2</v>
      </c>
      <c r="G18" s="33">
        <f>F18</f>
        <v>0.2</v>
      </c>
      <c r="I18" s="33">
        <v>0.21</v>
      </c>
      <c r="J18" s="33">
        <f>I18</f>
        <v>0.21</v>
      </c>
      <c r="K18" s="33">
        <f>J18</f>
        <v>0.21</v>
      </c>
      <c r="AA18" s="11">
        <f>C4*(1-$F$36)</f>
        <v>0.17100000000000001</v>
      </c>
      <c r="AB18" s="11">
        <f t="shared" ref="AB18:AZ18" si="12">AA18*(1-$F$36)</f>
        <v>0.15390000000000001</v>
      </c>
      <c r="AC18" s="11">
        <f t="shared" si="12"/>
        <v>0.13851000000000002</v>
      </c>
      <c r="AD18" s="11">
        <f t="shared" si="12"/>
        <v>0.12465900000000002</v>
      </c>
      <c r="AE18" s="11">
        <f t="shared" si="12"/>
        <v>0.11219310000000002</v>
      </c>
      <c r="AF18" s="11">
        <f t="shared" si="12"/>
        <v>0.10097379000000002</v>
      </c>
      <c r="AG18" s="11">
        <f t="shared" si="12"/>
        <v>9.0876411000000018E-2</v>
      </c>
      <c r="AH18" s="11">
        <f t="shared" si="12"/>
        <v>8.1788769900000016E-2</v>
      </c>
      <c r="AI18" s="11">
        <f t="shared" si="12"/>
        <v>7.3609892910000016E-2</v>
      </c>
      <c r="AJ18" s="11">
        <f t="shared" si="12"/>
        <v>6.6248903619000016E-2</v>
      </c>
      <c r="AK18" s="11">
        <f t="shared" si="12"/>
        <v>5.9624013257100018E-2</v>
      </c>
      <c r="AL18" s="11">
        <f t="shared" si="12"/>
        <v>5.3661611931390019E-2</v>
      </c>
      <c r="AM18" s="11">
        <f t="shared" si="12"/>
        <v>4.829545073825102E-2</v>
      </c>
      <c r="AN18" s="11">
        <f t="shared" si="12"/>
        <v>4.3465905664425916E-2</v>
      </c>
      <c r="AO18" s="11">
        <f t="shared" si="12"/>
        <v>3.9119315097983325E-2</v>
      </c>
      <c r="AP18" s="11">
        <f t="shared" si="12"/>
        <v>3.5207383588184996E-2</v>
      </c>
      <c r="AQ18" s="11">
        <f t="shared" si="12"/>
        <v>3.1686645229366497E-2</v>
      </c>
      <c r="AR18" s="11">
        <f t="shared" si="12"/>
        <v>2.8517980706429847E-2</v>
      </c>
      <c r="AS18" s="11">
        <f t="shared" si="12"/>
        <v>2.5666182635786863E-2</v>
      </c>
      <c r="AT18" s="11">
        <f t="shared" si="12"/>
        <v>2.3099564372208177E-2</v>
      </c>
      <c r="AU18" s="11">
        <f t="shared" si="12"/>
        <v>2.078960793498736E-2</v>
      </c>
      <c r="AV18" s="11">
        <f t="shared" si="12"/>
        <v>1.8710647141488623E-2</v>
      </c>
      <c r="AW18" s="11">
        <f t="shared" si="12"/>
        <v>1.6839582427339763E-2</v>
      </c>
      <c r="AX18" s="11">
        <f t="shared" si="12"/>
        <v>1.5155624184605787E-2</v>
      </c>
      <c r="AY18" s="11">
        <f t="shared" si="12"/>
        <v>1.3640061766145208E-2</v>
      </c>
      <c r="AZ18" s="11">
        <f t="shared" si="12"/>
        <v>1.2276055589530687E-2</v>
      </c>
    </row>
    <row r="19" spans="1:52" x14ac:dyDescent="0.2">
      <c r="A19" s="37" t="s">
        <v>23</v>
      </c>
      <c r="B19" s="7"/>
      <c r="C19" s="24">
        <f>C18*C16</f>
        <v>400000000</v>
      </c>
      <c r="D19" s="8"/>
      <c r="E19" s="32">
        <f>E18*E16</f>
        <v>400000000</v>
      </c>
      <c r="F19" s="32">
        <f>E19</f>
        <v>400000000</v>
      </c>
      <c r="G19" s="32">
        <f>F19</f>
        <v>400000000</v>
      </c>
      <c r="I19" s="32">
        <f>I18*I16</f>
        <v>420000000</v>
      </c>
      <c r="J19" s="32">
        <f>I19</f>
        <v>420000000</v>
      </c>
      <c r="K19" s="32">
        <f>J19</f>
        <v>420000000</v>
      </c>
      <c r="AA19" s="11">
        <v>1</v>
      </c>
      <c r="AB19" s="11">
        <f>AA19+1</f>
        <v>2</v>
      </c>
      <c r="AC19" s="11">
        <f t="shared" ref="AC19:AZ19" si="13">AB19+1</f>
        <v>3</v>
      </c>
      <c r="AD19" s="11">
        <f t="shared" si="13"/>
        <v>4</v>
      </c>
      <c r="AE19" s="11">
        <f t="shared" si="13"/>
        <v>5</v>
      </c>
      <c r="AF19" s="11">
        <f t="shared" si="13"/>
        <v>6</v>
      </c>
      <c r="AG19" s="11">
        <f t="shared" si="13"/>
        <v>7</v>
      </c>
      <c r="AH19" s="11">
        <f t="shared" si="13"/>
        <v>8</v>
      </c>
      <c r="AI19" s="11">
        <f t="shared" si="13"/>
        <v>9</v>
      </c>
      <c r="AJ19" s="11">
        <f t="shared" si="13"/>
        <v>10</v>
      </c>
      <c r="AK19" s="11">
        <f t="shared" si="13"/>
        <v>11</v>
      </c>
      <c r="AL19" s="11">
        <f t="shared" si="13"/>
        <v>12</v>
      </c>
      <c r="AM19" s="11">
        <f t="shared" si="13"/>
        <v>13</v>
      </c>
      <c r="AN19" s="11">
        <f t="shared" si="13"/>
        <v>14</v>
      </c>
      <c r="AO19" s="11">
        <f t="shared" si="13"/>
        <v>15</v>
      </c>
      <c r="AP19" s="11">
        <f t="shared" si="13"/>
        <v>16</v>
      </c>
      <c r="AQ19" s="11">
        <f t="shared" si="13"/>
        <v>17</v>
      </c>
      <c r="AR19" s="11">
        <f t="shared" si="13"/>
        <v>18</v>
      </c>
      <c r="AS19" s="11">
        <f t="shared" si="13"/>
        <v>19</v>
      </c>
      <c r="AT19" s="11">
        <f t="shared" si="13"/>
        <v>20</v>
      </c>
      <c r="AU19" s="11">
        <f t="shared" si="13"/>
        <v>21</v>
      </c>
      <c r="AV19" s="11">
        <f t="shared" si="13"/>
        <v>22</v>
      </c>
      <c r="AW19" s="11">
        <f t="shared" si="13"/>
        <v>23</v>
      </c>
      <c r="AX19" s="11">
        <f t="shared" si="13"/>
        <v>24</v>
      </c>
      <c r="AY19" s="11">
        <f t="shared" si="13"/>
        <v>25</v>
      </c>
      <c r="AZ19" s="11">
        <f t="shared" si="13"/>
        <v>26</v>
      </c>
    </row>
    <row r="20" spans="1:52" x14ac:dyDescent="0.2">
      <c r="A20" s="55" t="s">
        <v>53</v>
      </c>
      <c r="B20" s="7"/>
      <c r="C20" s="24"/>
      <c r="D20" s="8"/>
      <c r="E20" s="32"/>
      <c r="F20" s="29"/>
      <c r="G20" s="29"/>
      <c r="I20" s="32"/>
      <c r="J20" s="29"/>
      <c r="K20" s="29"/>
    </row>
    <row r="21" spans="1:52" x14ac:dyDescent="0.2">
      <c r="A21" s="37" t="s">
        <v>51</v>
      </c>
      <c r="B21" s="7"/>
      <c r="C21" s="56">
        <v>0</v>
      </c>
      <c r="D21" s="57"/>
      <c r="E21" s="58">
        <v>4</v>
      </c>
      <c r="F21" s="58">
        <f>E21</f>
        <v>4</v>
      </c>
      <c r="G21" s="58">
        <f>F21</f>
        <v>4</v>
      </c>
      <c r="I21" s="58">
        <v>4</v>
      </c>
      <c r="J21" s="58">
        <f>I21</f>
        <v>4</v>
      </c>
      <c r="K21" s="58">
        <f>J21</f>
        <v>4</v>
      </c>
    </row>
    <row r="22" spans="1:52" x14ac:dyDescent="0.2">
      <c r="A22" s="37" t="s">
        <v>52</v>
      </c>
      <c r="B22" s="7"/>
      <c r="C22" s="56"/>
      <c r="D22" s="57"/>
      <c r="E22" s="58">
        <v>3</v>
      </c>
      <c r="F22" s="58">
        <f>E22</f>
        <v>3</v>
      </c>
      <c r="G22" s="58">
        <f>F22</f>
        <v>3</v>
      </c>
      <c r="I22" s="58">
        <v>3</v>
      </c>
      <c r="J22" s="58">
        <f>I22</f>
        <v>3</v>
      </c>
      <c r="K22" s="58">
        <f>J22</f>
        <v>3</v>
      </c>
    </row>
    <row r="23" spans="1:52" x14ac:dyDescent="0.2">
      <c r="A23" s="36"/>
      <c r="C23" s="56"/>
      <c r="D23" s="57"/>
      <c r="E23" s="58"/>
      <c r="F23" s="29"/>
      <c r="G23" s="29"/>
      <c r="I23" s="58"/>
      <c r="J23" s="29"/>
      <c r="K23" s="29"/>
    </row>
    <row r="25" spans="1:52" s="45" customFormat="1" ht="62" customHeight="1" x14ac:dyDescent="0.2">
      <c r="A25" s="46" t="s">
        <v>37</v>
      </c>
      <c r="B25" s="42"/>
      <c r="F25" s="63" t="s">
        <v>56</v>
      </c>
      <c r="J25" s="63" t="s">
        <v>57</v>
      </c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</row>
    <row r="26" spans="1:52" x14ac:dyDescent="0.2">
      <c r="A26" s="38" t="s">
        <v>39</v>
      </c>
      <c r="D26" s="5"/>
      <c r="F26" s="25">
        <v>150</v>
      </c>
      <c r="J26" s="25">
        <f>F26*$J$36/$F$36</f>
        <v>351.49063783238125</v>
      </c>
    </row>
    <row r="27" spans="1:52" x14ac:dyDescent="0.2">
      <c r="A27" s="38" t="s">
        <v>55</v>
      </c>
      <c r="D27" s="5"/>
      <c r="F27" s="25">
        <v>200000</v>
      </c>
      <c r="G27" s="67"/>
      <c r="J27" s="25">
        <f>F27*$J$36/$F$36/1.5</f>
        <v>312436.12251767219</v>
      </c>
    </row>
    <row r="28" spans="1:52" x14ac:dyDescent="0.2">
      <c r="A28" s="38" t="s">
        <v>40</v>
      </c>
      <c r="D28" s="5"/>
      <c r="F28" s="28">
        <v>3</v>
      </c>
      <c r="J28" s="28">
        <v>3</v>
      </c>
    </row>
    <row r="29" spans="1:52" x14ac:dyDescent="0.2">
      <c r="A29" s="38" t="s">
        <v>14</v>
      </c>
      <c r="D29" s="2"/>
      <c r="F29" s="26">
        <v>0.5</v>
      </c>
      <c r="G29" s="67"/>
      <c r="J29" s="26">
        <v>0.5</v>
      </c>
    </row>
    <row r="30" spans="1:52" x14ac:dyDescent="0.2">
      <c r="A30" s="38" t="s">
        <v>11</v>
      </c>
      <c r="D30" s="2"/>
      <c r="F30" s="26"/>
      <c r="J30" s="26"/>
    </row>
    <row r="31" spans="1:52" x14ac:dyDescent="0.2">
      <c r="A31" s="39" t="s">
        <v>16</v>
      </c>
      <c r="B31" s="7"/>
      <c r="D31" s="5"/>
      <c r="F31" s="27">
        <f>C14*1.25*8</f>
        <v>423.07692307692309</v>
      </c>
      <c r="J31" s="27">
        <f>E14*1.25*8</f>
        <v>423.07692307692309</v>
      </c>
    </row>
    <row r="32" spans="1:52" x14ac:dyDescent="0.2">
      <c r="A32" s="39" t="s">
        <v>18</v>
      </c>
      <c r="B32" s="7"/>
      <c r="D32" s="2"/>
      <c r="F32" s="26">
        <v>0.6</v>
      </c>
      <c r="J32" s="26">
        <v>0.6</v>
      </c>
    </row>
    <row r="33" spans="1:28" x14ac:dyDescent="0.2">
      <c r="A33" s="39" t="s">
        <v>17</v>
      </c>
      <c r="B33" s="7"/>
      <c r="F33" s="28">
        <v>7</v>
      </c>
      <c r="H33" s="62"/>
      <c r="I33" s="62"/>
      <c r="J33" s="54">
        <v>12</v>
      </c>
    </row>
    <row r="34" spans="1:28" ht="24" x14ac:dyDescent="0.25">
      <c r="A34" s="38" t="s">
        <v>13</v>
      </c>
      <c r="D34" s="5"/>
      <c r="F34" s="25">
        <v>1500</v>
      </c>
      <c r="J34" s="25">
        <f>1500*J36/F36</f>
        <v>3514.9063783238125</v>
      </c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</row>
    <row r="35" spans="1:28" ht="24" x14ac:dyDescent="0.25">
      <c r="A35" s="38" t="s">
        <v>15</v>
      </c>
      <c r="F35" s="28">
        <v>0</v>
      </c>
      <c r="J35" s="28">
        <v>0</v>
      </c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</row>
    <row r="36" spans="1:28" ht="24" x14ac:dyDescent="0.25">
      <c r="A36" s="40" t="s">
        <v>48</v>
      </c>
      <c r="B36" s="10"/>
      <c r="D36" s="2"/>
      <c r="F36" s="61">
        <v>0.1</v>
      </c>
      <c r="J36" s="59">
        <f>ABS(_xlfn.RRI(J40,C4,F38))</f>
        <v>0.23432709188825418</v>
      </c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</row>
    <row r="37" spans="1:28" ht="24" x14ac:dyDescent="0.25">
      <c r="A37" s="38" t="s">
        <v>28</v>
      </c>
      <c r="D37" s="2"/>
      <c r="F37" s="26">
        <v>0.01</v>
      </c>
      <c r="J37" s="26">
        <v>0.03</v>
      </c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</row>
    <row r="38" spans="1:28" x14ac:dyDescent="0.2">
      <c r="A38" s="38" t="s">
        <v>46</v>
      </c>
      <c r="F38" s="26">
        <v>0.05</v>
      </c>
      <c r="J38" s="26">
        <v>0.05</v>
      </c>
    </row>
    <row r="39" spans="1:28" x14ac:dyDescent="0.2">
      <c r="A39" s="38" t="s">
        <v>50</v>
      </c>
      <c r="F39" s="60">
        <f>HLOOKUP(1,AA17:AZ19,3, TRUE)</f>
        <v>13</v>
      </c>
      <c r="J39" s="53"/>
    </row>
    <row r="40" spans="1:28" x14ac:dyDescent="0.2">
      <c r="A40" s="38" t="s">
        <v>49</v>
      </c>
      <c r="F40" s="53"/>
      <c r="J40" s="28">
        <v>5</v>
      </c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</sheetData>
  <mergeCells count="3">
    <mergeCell ref="AA16:AZ16"/>
    <mergeCell ref="E1:G1"/>
    <mergeCell ref="I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</vt:lpstr>
      <vt:lpstr>CALCULATOR</vt:lpstr>
      <vt:lpstr>ASSUMPTIONS</vt:lpstr>
    </vt:vector>
  </TitlesOfParts>
  <Manager/>
  <Company>GNSH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GNSH</dc:creator>
  <cp:keywords/>
  <dc:description/>
  <cp:lastModifiedBy>Microsoft Office User</cp:lastModifiedBy>
  <dcterms:created xsi:type="dcterms:W3CDTF">2018-01-12T21:13:57Z</dcterms:created>
  <dcterms:modified xsi:type="dcterms:W3CDTF">2018-01-13T19:00:25Z</dcterms:modified>
  <cp:category/>
</cp:coreProperties>
</file>